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520" windowHeight="11055" activeTab="0"/>
  </bookViews>
  <sheets>
    <sheet name="Calculator" sheetId="1" r:id="rId1"/>
  </sheets>
  <definedNames>
    <definedName name="age">'Calculator'!$H$6</definedName>
    <definedName name="AgeCLcorrected">'Calculator'!$K$11</definedName>
    <definedName name="Agecorrected">'Calculator'!$K$10</definedName>
    <definedName name="PRYUnit">#REF!</definedName>
    <definedName name="YearXUnit">#REF!</definedName>
  </definedNames>
  <calcPr fullCalcOnLoad="1" refMode="R1C1"/>
</workbook>
</file>

<file path=xl/sharedStrings.xml><?xml version="1.0" encoding="utf-8"?>
<sst xmlns="http://schemas.openxmlformats.org/spreadsheetml/2006/main" count="69" uniqueCount="40">
  <si>
    <t>(mm)</t>
  </si>
  <si>
    <t>(years)</t>
  </si>
  <si>
    <t>Normal -1SD Palp</t>
  </si>
  <si>
    <t>Patient birth date</t>
  </si>
  <si>
    <t>Patient's age</t>
  </si>
  <si>
    <t>Patient's PFL</t>
  </si>
  <si>
    <t>(mm/dd/yyyy)</t>
  </si>
  <si>
    <t>Mean PFL for Normal Population</t>
  </si>
  <si>
    <t>Clarren (2010) Female</t>
  </si>
  <si>
    <t>Clarren (2010) Male</t>
  </si>
  <si>
    <t>Hall (1989) Male or Female</t>
  </si>
  <si>
    <t>Use for Age Range</t>
  </si>
  <si>
    <t>0-16 yrs</t>
  </si>
  <si>
    <t>6-16 yrs</t>
  </si>
  <si>
    <t>PFL Normal Growth Chart</t>
  </si>
  <si>
    <t>Instructions: Enter data in yellow cells. All remaining cells will automatically compute.</t>
  </si>
  <si>
    <t>Palpebral Fissure Length (PFL)  Z-score Calculator</t>
  </si>
  <si>
    <t>Hide this side</t>
  </si>
  <si>
    <t>if age is in range, pull data from this table</t>
  </si>
  <si>
    <t>Hall JG, Froster-Iskenius UG, Allanson JE.  Handbook of Normal Physical Measurements. Oxford University Press, 1989</t>
  </si>
  <si>
    <t>Date PFL Measured</t>
  </si>
  <si>
    <t>Applicable  Age Range</t>
  </si>
  <si>
    <t>Stromland (1999) Female</t>
  </si>
  <si>
    <t>Stromland (1999) Male</t>
  </si>
  <si>
    <t>0-18 yrs</t>
  </si>
  <si>
    <t>if age GE 16.0 for Clarren or GE 18.0 years old for Stromland, pull data from this table.</t>
  </si>
  <si>
    <t>This is the calculator tab only from the pfl-innercanth-ZSCORE032512.xls workbook.</t>
  </si>
  <si>
    <t>References:</t>
  </si>
  <si>
    <t>Astley SJ. Canadian palpebral fissure length growth charts reflect a good fit for two school and FASD clinic-based U.S. populations. J Popul Ther Clinc Pharmacol 2011:18(2 );e231 -e241;April 8, 2011</t>
  </si>
  <si>
    <t>Clarren SK, Chudley AE, Wong L, Friesen J, Brant R. Normal distribution of palpebral fissure lengths in Canadian school age children. Can J Clin Pharmacoogy 2010;17(1):e67-e78.</t>
  </si>
  <si>
    <r>
      <t xml:space="preserve"> </t>
    </r>
    <r>
      <rPr>
        <b/>
        <sz val="10"/>
        <rFont val="Arial"/>
        <family val="2"/>
      </rPr>
      <t>Caucasian Male or Female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(Hall, 1989)</t>
    </r>
  </si>
  <si>
    <r>
      <t xml:space="preserve"> </t>
    </r>
    <r>
      <rPr>
        <b/>
        <sz val="10"/>
        <rFont val="Arial"/>
        <family val="2"/>
      </rPr>
      <t>Canadian Female</t>
    </r>
    <r>
      <rPr>
        <sz val="8"/>
        <rFont val="Arial"/>
        <family val="2"/>
      </rPr>
      <t xml:space="preserve"> (Clarren et al., 2010)</t>
    </r>
  </si>
  <si>
    <r>
      <t xml:space="preserve"> </t>
    </r>
    <r>
      <rPr>
        <b/>
        <sz val="10"/>
        <rFont val="Arial"/>
        <family val="2"/>
      </rPr>
      <t>Canadian Male</t>
    </r>
    <r>
      <rPr>
        <sz val="8"/>
        <rFont val="Arial"/>
        <family val="2"/>
      </rPr>
      <t xml:space="preserve"> (Clarren et al., 2010)</t>
    </r>
  </si>
  <si>
    <r>
      <t xml:space="preserve"> </t>
    </r>
    <r>
      <rPr>
        <b/>
        <sz val="10"/>
        <rFont val="Arial"/>
        <family val="2"/>
      </rPr>
      <t>Scandinavian Female</t>
    </r>
    <r>
      <rPr>
        <sz val="8"/>
        <rFont val="Arial"/>
        <family val="2"/>
      </rPr>
      <t xml:space="preserve"> (Stromland et al., 1999)</t>
    </r>
  </si>
  <si>
    <r>
      <t xml:space="preserve"> </t>
    </r>
    <r>
      <rPr>
        <b/>
        <sz val="10"/>
        <rFont val="Arial"/>
        <family val="2"/>
      </rPr>
      <t>Scandinavian Male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(Stromland et al., 1999)</t>
    </r>
  </si>
  <si>
    <t>The University of Washington uses the Stromland PFL charts for Caucasians (click here to learn why)</t>
  </si>
  <si>
    <t>Mean PFL for Normal Population      (mm)</t>
  </si>
  <si>
    <t>Patient's PFL        Z-score*</t>
  </si>
  <si>
    <t>Stromland K, Chen Y, Norberg T, Wennerstrom K, Michael G. Reference values of facial features in scandinavian children measured with a range-camera technique. Scand J Plast Reconstr Hand Surg 1999;33:59-65.</t>
  </si>
  <si>
    <t>* The PFL z-score reflects how many standard deviations (SDs) the patient's PFL is above or below the normal population mean. For example, if  1 year-old child had a  PFL  =  20 mm, that child's PFL would be 1.27 SDs below the population mean on the Stromland male PFL charts.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</si>
</sst>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00000"/>
    <numFmt numFmtId="167" formatCode="0.0000000000000"/>
    <numFmt numFmtId="168" formatCode="0.00000000000000000"/>
    <numFmt numFmtId="169" formatCode="0.00000000000000000000"/>
    <numFmt numFmtId="170" formatCode="0.000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00"/>
    <numFmt numFmtId="176" formatCode="0.00000000"/>
    <numFmt numFmtId="177" formatCode="[$-409]dddd\,\ mmmm\ dd\,\ yyyy"/>
    <numFmt numFmtId="178" formatCode="m/d/yyyy;@"/>
    <numFmt numFmtId="179" formatCode="[$-409]mmmm\ d\,\ yyyy;@"/>
    <numFmt numFmtId="180" formatCode="0.000000"/>
  </numFmts>
  <fonts count="56">
    <font>
      <sz val="10"/>
      <name val="Arial"/>
      <family val="0"/>
    </font>
    <font>
      <b/>
      <sz val="12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u val="single"/>
      <sz val="10"/>
      <color rgb="FFFF0000"/>
      <name val="Arial"/>
      <family val="2"/>
    </font>
    <font>
      <u val="single"/>
      <sz val="10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 hidden="1"/>
    </xf>
    <xf numFmtId="2" fontId="1" fillId="0" borderId="10" xfId="0" applyNumberFormat="1" applyFont="1" applyBorder="1" applyAlignment="1" applyProtection="1">
      <alignment horizontal="center" vertical="center"/>
      <protection hidden="1"/>
    </xf>
    <xf numFmtId="2" fontId="1" fillId="4" borderId="10" xfId="0" applyNumberFormat="1" applyFont="1" applyFill="1" applyBorder="1" applyAlignment="1" applyProtection="1">
      <alignment horizontal="center" vertical="center"/>
      <protection/>
    </xf>
    <xf numFmtId="2" fontId="1" fillId="4" borderId="10" xfId="0" applyNumberFormat="1" applyFont="1" applyFill="1" applyBorder="1" applyAlignment="1" applyProtection="1">
      <alignment horizontal="center" vertical="center"/>
      <protection hidden="1"/>
    </xf>
    <xf numFmtId="2" fontId="1" fillId="33" borderId="10" xfId="0" applyNumberFormat="1" applyFont="1" applyFill="1" applyBorder="1" applyAlignment="1" applyProtection="1">
      <alignment horizontal="center" vertical="center"/>
      <protection/>
    </xf>
    <xf numFmtId="2" fontId="1" fillId="33" borderId="10" xfId="0" applyNumberFormat="1" applyFont="1" applyFill="1" applyBorder="1" applyAlignment="1" applyProtection="1">
      <alignment horizontal="center" vertical="center"/>
      <protection hidden="1"/>
    </xf>
    <xf numFmtId="2" fontId="1" fillId="34" borderId="10" xfId="0" applyNumberFormat="1" applyFont="1" applyFill="1" applyBorder="1" applyAlignment="1" applyProtection="1">
      <alignment horizontal="center" vertical="center"/>
      <protection/>
    </xf>
    <xf numFmtId="2" fontId="1" fillId="34" borderId="10" xfId="0" applyNumberFormat="1" applyFont="1" applyFill="1" applyBorder="1" applyAlignment="1" applyProtection="1">
      <alignment horizontal="center" vertical="center"/>
      <protection hidden="1"/>
    </xf>
    <xf numFmtId="2" fontId="1" fillId="34" borderId="11" xfId="0" applyNumberFormat="1" applyFont="1" applyFill="1" applyBorder="1" applyAlignment="1" applyProtection="1">
      <alignment horizontal="center" vertical="center"/>
      <protection/>
    </xf>
    <xf numFmtId="2" fontId="0" fillId="0" borderId="12" xfId="0" applyNumberFormat="1" applyFont="1" applyFill="1" applyBorder="1" applyAlignment="1" applyProtection="1">
      <alignment horizontal="center" vertical="center"/>
      <protection/>
    </xf>
    <xf numFmtId="2" fontId="1" fillId="7" borderId="10" xfId="0" applyNumberFormat="1" applyFont="1" applyFill="1" applyBorder="1" applyAlignment="1" applyProtection="1">
      <alignment horizontal="center" vertical="center"/>
      <protection/>
    </xf>
    <xf numFmtId="2" fontId="1" fillId="19" borderId="10" xfId="0" applyNumberFormat="1" applyFont="1" applyFill="1" applyBorder="1" applyAlignment="1" applyProtection="1">
      <alignment horizontal="center" vertical="center"/>
      <protection/>
    </xf>
    <xf numFmtId="2" fontId="0" fillId="0" borderId="13" xfId="0" applyNumberFormat="1" applyFont="1" applyFill="1" applyBorder="1" applyAlignment="1" applyProtection="1">
      <alignment horizontal="center" vertical="center"/>
      <protection/>
    </xf>
    <xf numFmtId="2" fontId="1" fillId="0" borderId="14" xfId="0" applyNumberFormat="1" applyFont="1" applyFill="1" applyBorder="1" applyAlignment="1" applyProtection="1">
      <alignment horizontal="center"/>
      <protection/>
    </xf>
    <xf numFmtId="2" fontId="1" fillId="7" borderId="10" xfId="0" applyNumberFormat="1" applyFont="1" applyFill="1" applyBorder="1" applyAlignment="1" applyProtection="1">
      <alignment horizontal="center" vertical="center"/>
      <protection hidden="1"/>
    </xf>
    <xf numFmtId="2" fontId="1" fillId="19" borderId="10" xfId="0" applyNumberFormat="1" applyFont="1" applyFill="1" applyBorder="1" applyAlignment="1" applyProtection="1">
      <alignment horizontal="center" vertical="center"/>
      <protection hidden="1"/>
    </xf>
    <xf numFmtId="2" fontId="1" fillId="35" borderId="10" xfId="0" applyNumberFormat="1" applyFont="1" applyFill="1" applyBorder="1" applyAlignment="1" applyProtection="1">
      <alignment horizontal="center" vertical="center"/>
      <protection/>
    </xf>
    <xf numFmtId="2" fontId="0" fillId="35" borderId="13" xfId="0" applyNumberFormat="1" applyFont="1" applyFill="1" applyBorder="1" applyAlignment="1" applyProtection="1">
      <alignment horizontal="center" vertical="center"/>
      <protection/>
    </xf>
    <xf numFmtId="2" fontId="0" fillId="7" borderId="12" xfId="0" applyNumberFormat="1" applyFont="1" applyFill="1" applyBorder="1" applyAlignment="1" applyProtection="1">
      <alignment horizontal="center" vertical="center"/>
      <protection/>
    </xf>
    <xf numFmtId="2" fontId="1" fillId="36" borderId="10" xfId="0" applyNumberFormat="1" applyFont="1" applyFill="1" applyBorder="1" applyAlignment="1" applyProtection="1">
      <alignment horizontal="center" vertical="center"/>
      <protection/>
    </xf>
    <xf numFmtId="2" fontId="0" fillId="36" borderId="11" xfId="0" applyNumberFormat="1" applyFont="1" applyFill="1" applyBorder="1" applyAlignment="1" applyProtection="1">
      <alignment horizontal="center" vertical="center"/>
      <protection/>
    </xf>
    <xf numFmtId="2" fontId="0" fillId="33" borderId="10" xfId="0" applyNumberFormat="1" applyFont="1" applyFill="1" applyBorder="1" applyAlignment="1" applyProtection="1">
      <alignment horizontal="center" vertical="center"/>
      <protection/>
    </xf>
    <xf numFmtId="2" fontId="0" fillId="4" borderId="10" xfId="0" applyNumberFormat="1" applyFont="1" applyFill="1" applyBorder="1" applyAlignment="1" applyProtection="1">
      <alignment horizontal="center" vertical="center"/>
      <protection/>
    </xf>
    <xf numFmtId="0" fontId="0" fillId="37" borderId="10" xfId="0" applyFill="1" applyBorder="1" applyAlignment="1" applyProtection="1">
      <alignment horizontal="center"/>
      <protection hidden="1"/>
    </xf>
    <xf numFmtId="0" fontId="0" fillId="4" borderId="10" xfId="0" applyFont="1" applyFill="1" applyBorder="1" applyAlignment="1" applyProtection="1">
      <alignment horizontal="left" vertical="center"/>
      <protection/>
    </xf>
    <xf numFmtId="2" fontId="0" fillId="33" borderId="10" xfId="0" applyNumberFormat="1" applyFont="1" applyFill="1" applyBorder="1" applyAlignment="1" applyProtection="1">
      <alignment horizontal="left" vertical="center"/>
      <protection/>
    </xf>
    <xf numFmtId="2" fontId="0" fillId="36" borderId="10" xfId="0" applyNumberFormat="1" applyFont="1" applyFill="1" applyBorder="1" applyAlignment="1" applyProtection="1">
      <alignment horizontal="left" vertical="center"/>
      <protection/>
    </xf>
    <xf numFmtId="2" fontId="0" fillId="7" borderId="10" xfId="0" applyNumberFormat="1" applyFont="1" applyFill="1" applyBorder="1" applyAlignment="1" applyProtection="1">
      <alignment horizontal="left" vertical="center"/>
      <protection/>
    </xf>
    <xf numFmtId="2" fontId="0" fillId="35" borderId="15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7" borderId="16" xfId="0" applyFill="1" applyBorder="1" applyAlignment="1" applyProtection="1">
      <alignment horizontal="center"/>
      <protection/>
    </xf>
    <xf numFmtId="0" fontId="0" fillId="37" borderId="16" xfId="0" applyFont="1" applyFill="1" applyBorder="1" applyAlignment="1" applyProtection="1">
      <alignment horizontal="center"/>
      <protection/>
    </xf>
    <xf numFmtId="0" fontId="0" fillId="37" borderId="17" xfId="0" applyFont="1" applyFill="1" applyBorder="1" applyAlignment="1" applyProtection="1">
      <alignment horizontal="center"/>
      <protection/>
    </xf>
    <xf numFmtId="0" fontId="0" fillId="37" borderId="17" xfId="0" applyFill="1" applyBorder="1" applyAlignment="1" applyProtection="1">
      <alignment horizontal="center"/>
      <protection/>
    </xf>
    <xf numFmtId="2" fontId="2" fillId="37" borderId="18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2" fontId="49" fillId="7" borderId="20" xfId="0" applyNumberFormat="1" applyFont="1" applyFill="1" applyBorder="1" applyAlignment="1" applyProtection="1">
      <alignment horizontal="center"/>
      <protection/>
    </xf>
    <xf numFmtId="2" fontId="49" fillId="19" borderId="2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17" fontId="0" fillId="0" borderId="0" xfId="0" applyNumberForma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79" fontId="2" fillId="32" borderId="18" xfId="0" applyNumberFormat="1" applyFont="1" applyFill="1" applyBorder="1" applyAlignment="1" applyProtection="1">
      <alignment horizontal="center"/>
      <protection locked="0"/>
    </xf>
    <xf numFmtId="2" fontId="2" fillId="32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1" fillId="0" borderId="0" xfId="53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51" fillId="32" borderId="21" xfId="0" applyFont="1" applyFill="1" applyBorder="1" applyAlignment="1" applyProtection="1">
      <alignment horizontal="center" vertical="center"/>
      <protection/>
    </xf>
    <xf numFmtId="0" fontId="52" fillId="32" borderId="22" xfId="0" applyFont="1" applyFill="1" applyBorder="1" applyAlignment="1" applyProtection="1">
      <alignment horizontal="center" vertical="center"/>
      <protection/>
    </xf>
    <xf numFmtId="0" fontId="52" fillId="32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/>
      <protection/>
    </xf>
    <xf numFmtId="0" fontId="53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41" fillId="0" borderId="0" xfId="53" applyAlignment="1" applyProtection="1">
      <alignment vertical="top" wrapText="1"/>
      <protection/>
    </xf>
    <xf numFmtId="0" fontId="54" fillId="0" borderId="0" xfId="53" applyFont="1" applyAlignment="1" applyProtection="1">
      <alignment horizontal="center" wrapText="1"/>
      <protection locked="0"/>
    </xf>
    <xf numFmtId="0" fontId="55" fillId="0" borderId="0" xfId="53" applyFont="1" applyAlignment="1" applyProtection="1">
      <alignment horizontal="center" wrapText="1"/>
      <protection locked="0"/>
    </xf>
    <xf numFmtId="0" fontId="0" fillId="0" borderId="0" xfId="0" applyAlignment="1" applyProtection="1">
      <alignment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37" borderId="2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epts.washington.edu/fasdpn/pdfs/pfl2012.pdf" TargetMode="External" /><Relationship Id="rId2" Type="http://schemas.openxmlformats.org/officeDocument/2006/relationships/hyperlink" Target="http://depts.washington.edu/fasdpn/pdfs/stromland1999.pdf" TargetMode="External" /><Relationship Id="rId3" Type="http://schemas.openxmlformats.org/officeDocument/2006/relationships/hyperlink" Target="http://www.jptcp.com/pubmed.php?articleId=253" TargetMode="External" /><Relationship Id="rId4" Type="http://schemas.openxmlformats.org/officeDocument/2006/relationships/hyperlink" Target="http://depts.washington.edu/fasdpn/pdfs/FAR011002_e231-e241_Astley%5B1%5D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U34"/>
  <sheetViews>
    <sheetView showGridLines="0" showRowColHeaders="0" tabSelected="1" zoomScalePageLayoutView="0" workbookViewId="0" topLeftCell="E1">
      <selection activeCell="G6" sqref="G6"/>
    </sheetView>
  </sheetViews>
  <sheetFormatPr defaultColWidth="10.28125" defaultRowHeight="12.75"/>
  <cols>
    <col min="1" max="2" width="9.140625" style="39" hidden="1" customWidth="1"/>
    <col min="3" max="3" width="5.421875" style="39" hidden="1" customWidth="1"/>
    <col min="4" max="4" width="20.00390625" style="39" hidden="1" customWidth="1"/>
    <col min="5" max="5" width="2.8515625" style="39" customWidth="1"/>
    <col min="6" max="6" width="37.8515625" style="39" customWidth="1"/>
    <col min="7" max="7" width="30.28125" style="39" customWidth="1"/>
    <col min="8" max="8" width="29.57421875" style="39" customWidth="1"/>
    <col min="9" max="9" width="15.8515625" style="39" customWidth="1"/>
    <col min="10" max="10" width="16.00390625" style="39" hidden="1" customWidth="1"/>
    <col min="11" max="12" width="9.140625" style="39" hidden="1" customWidth="1"/>
    <col min="13" max="13" width="41.421875" style="39" hidden="1" customWidth="1"/>
    <col min="14" max="14" width="16.7109375" style="39" hidden="1" customWidth="1"/>
    <col min="15" max="15" width="28.421875" style="39" hidden="1" customWidth="1"/>
    <col min="16" max="16" width="16.00390625" style="39" hidden="1" customWidth="1"/>
    <col min="17" max="17" width="9.140625" style="39" hidden="1" customWidth="1"/>
    <col min="18" max="254" width="9.140625" style="39" customWidth="1"/>
    <col min="255" max="16384" width="10.28125" style="39" customWidth="1"/>
  </cols>
  <sheetData>
    <row r="1" spans="6:10" ht="33.75" customHeight="1">
      <c r="F1" s="62" t="s">
        <v>16</v>
      </c>
      <c r="G1" s="62"/>
      <c r="H1" s="62"/>
      <c r="I1" s="62"/>
      <c r="J1" s="40"/>
    </row>
    <row r="2" spans="6:13" ht="28.5" customHeight="1">
      <c r="F2" s="63" t="s">
        <v>15</v>
      </c>
      <c r="G2" s="64"/>
      <c r="H2" s="64"/>
      <c r="I2" s="65"/>
      <c r="M2" s="39" t="s">
        <v>26</v>
      </c>
    </row>
    <row r="3" ht="21" customHeight="1"/>
    <row r="4" spans="6:13" ht="12.75">
      <c r="F4" s="41" t="s">
        <v>3</v>
      </c>
      <c r="G4" s="42" t="s">
        <v>20</v>
      </c>
      <c r="H4" s="41" t="s">
        <v>4</v>
      </c>
      <c r="I4" s="41" t="s">
        <v>5</v>
      </c>
      <c r="M4" s="39" t="s">
        <v>17</v>
      </c>
    </row>
    <row r="5" spans="6:9" ht="13.5" thickBot="1">
      <c r="F5" s="43" t="s">
        <v>6</v>
      </c>
      <c r="G5" s="43" t="s">
        <v>6</v>
      </c>
      <c r="H5" s="44" t="s">
        <v>1</v>
      </c>
      <c r="I5" s="44" t="s">
        <v>0</v>
      </c>
    </row>
    <row r="6" spans="6:9" ht="20.25">
      <c r="F6" s="58">
        <v>32874</v>
      </c>
      <c r="G6" s="58">
        <v>36526</v>
      </c>
      <c r="H6" s="45">
        <f>(G6-F6)/365.25</f>
        <v>9.998631074606434</v>
      </c>
      <c r="I6" s="59">
        <v>28</v>
      </c>
    </row>
    <row r="7" spans="8:13" ht="13.5" thickBot="1">
      <c r="H7" s="46"/>
      <c r="M7" s="39" t="s">
        <v>18</v>
      </c>
    </row>
    <row r="8" spans="5:16" ht="13.5" thickBot="1">
      <c r="E8" s="1"/>
      <c r="F8" s="74" t="s">
        <v>14</v>
      </c>
      <c r="G8" s="74" t="s">
        <v>21</v>
      </c>
      <c r="H8" s="74" t="s">
        <v>36</v>
      </c>
      <c r="I8" s="74" t="s">
        <v>37</v>
      </c>
      <c r="J8" s="32" t="s">
        <v>2</v>
      </c>
      <c r="M8" s="3" t="s">
        <v>14</v>
      </c>
      <c r="N8" s="3" t="s">
        <v>11</v>
      </c>
      <c r="O8" s="6" t="s">
        <v>7</v>
      </c>
      <c r="P8" s="9" t="s">
        <v>2</v>
      </c>
    </row>
    <row r="9" spans="5:21" ht="13.5" thickBot="1">
      <c r="E9" s="1"/>
      <c r="F9" s="75"/>
      <c r="G9" s="76"/>
      <c r="H9" s="75"/>
      <c r="I9" s="76"/>
      <c r="J9" s="32" t="s">
        <v>0</v>
      </c>
      <c r="M9" s="47"/>
      <c r="N9" s="3"/>
      <c r="O9" s="7" t="s">
        <v>0</v>
      </c>
      <c r="P9" s="9" t="s">
        <v>0</v>
      </c>
      <c r="T9" s="40"/>
      <c r="U9" s="40"/>
    </row>
    <row r="10" spans="5:21" ht="27.75" customHeight="1" thickBot="1">
      <c r="E10" s="2"/>
      <c r="F10" s="33" t="s">
        <v>30</v>
      </c>
      <c r="G10" s="31" t="s">
        <v>12</v>
      </c>
      <c r="H10" s="11">
        <f>IF(age&gt;16,Calculator!O23,Calculator!O10)</f>
        <v>28.69435697911338</v>
      </c>
      <c r="I10" s="11">
        <f>(I6-H10)/(H10-J10)</f>
        <v>-0.5146505199885758</v>
      </c>
      <c r="J10" s="12">
        <f>IF(age&gt;16,P23,P10)</f>
        <v>27.34517544301235</v>
      </c>
      <c r="M10" s="4" t="s">
        <v>10</v>
      </c>
      <c r="N10" s="5" t="s">
        <v>12</v>
      </c>
      <c r="O10" s="8">
        <f>19.0894193236+(3.607845346*age)-(0.8612678648*age^2)+(0.1273073211*age^3)-(0.0103881929*age^4)+(0.00043559179719*age^5)-(0.000007330749359*age^6)</f>
        <v>28.69435697911338</v>
      </c>
      <c r="P10" s="10">
        <f>18.1456080914+(3.3565448286*age)-(0.7991831107*age^2)+(0.1191943017*age^3)-(0.0098092554034*age^4)+(0.00041503157589*age^5)-(0.0000070519075517*age^6)</f>
        <v>27.34517544301235</v>
      </c>
      <c r="T10" s="40"/>
      <c r="U10" s="40"/>
    </row>
    <row r="11" spans="5:16" ht="27.75" customHeight="1" thickBot="1">
      <c r="E11" s="2"/>
      <c r="F11" s="34" t="s">
        <v>31</v>
      </c>
      <c r="G11" s="30" t="s">
        <v>13</v>
      </c>
      <c r="H11" s="13">
        <f>IF(age&lt;6,"Too Young",IF(age&gt;16,O24,O11))</f>
        <v>26.031130068983614</v>
      </c>
      <c r="I11" s="13">
        <f>IF(ISERR((I6-H11)/(H11-J11)),"Too Young",(I6-H11)/(H11-J11))</f>
        <v>1.549846624825101</v>
      </c>
      <c r="J11" s="13">
        <f>IF(age&lt;6,"Too Young",IF(age&gt;16,P24,P11))</f>
        <v>24.76076569906503</v>
      </c>
      <c r="L11" s="48"/>
      <c r="M11" s="5" t="s">
        <v>8</v>
      </c>
      <c r="N11" s="5" t="s">
        <v>13</v>
      </c>
      <c r="O11" s="13">
        <f>33.45054072-(9.194417172*age)+(3.051930553*age^2)-(0.473386844*age^3)+(0.03836102159*age^4)-(0.00155974471*age^5)+(0.00002508326333*age^6)</f>
        <v>26.031130068983614</v>
      </c>
      <c r="P11" s="14">
        <f>30.15292931-(7.913394311*age)+(2.746415044*age^2)-(0.4362453792*age^3)+(0.03588388568*age^4)-(0.001473487914*age^5)+(0.00002385602149*age^6)</f>
        <v>24.76076569906503</v>
      </c>
    </row>
    <row r="12" spans="5:20" ht="27.75" customHeight="1" thickBot="1">
      <c r="E12" s="2"/>
      <c r="F12" s="35" t="s">
        <v>32</v>
      </c>
      <c r="G12" s="29" t="s">
        <v>13</v>
      </c>
      <c r="H12" s="28">
        <f>IF(age&lt;6,"Too Young",IF(age&gt;16,O25,O12))</f>
        <v>26.485483511065343</v>
      </c>
      <c r="I12" s="15">
        <f>IF(ISERR((I6-H12)/(H12-J12)),"Too Young",(I6-H12)/(H12-J12))</f>
        <v>1.0737860852705048</v>
      </c>
      <c r="J12" s="17">
        <f>IF(age&lt;6,"Too Young",IF(age&gt;16,P25,P12))</f>
        <v>25.075038255990982</v>
      </c>
      <c r="M12" s="5" t="s">
        <v>9</v>
      </c>
      <c r="N12" s="5" t="s">
        <v>13</v>
      </c>
      <c r="O12" s="15">
        <f>35.98918587-(10.47692012*age)+(3.365713432*age^2)-(0.5127828877*age^3)+(0.04105008537*age^4)-(0.001654610607*age^5)+(0.00002643770876*age^6)</f>
        <v>26.485483511065343</v>
      </c>
      <c r="P12" s="16">
        <f>32.00856179-(8.705870837*age)+(2.92342034*age^2)-(0.4578107931*age^3)+(0.03737289365*age^4)-(0.001528193403*age^5)+(0.00002468477487*age^6)</f>
        <v>25.075038255990982</v>
      </c>
      <c r="T12" s="40"/>
    </row>
    <row r="13" spans="5:20" ht="27.75" customHeight="1" thickBot="1">
      <c r="E13" s="2"/>
      <c r="F13" s="36" t="s">
        <v>33</v>
      </c>
      <c r="G13" s="27" t="s">
        <v>24</v>
      </c>
      <c r="H13" s="19">
        <f>IF(age&gt;18,Calculator!O26,Calculator!O13)</f>
        <v>26.835891242482507</v>
      </c>
      <c r="I13" s="19">
        <f>(I6-H13)/(H13-J13)</f>
        <v>0.8781359420598427</v>
      </c>
      <c r="J13" s="23">
        <f>IF(age&gt;18,P26,P13)</f>
        <v>25.51023230773165</v>
      </c>
      <c r="K13" s="49"/>
      <c r="M13" s="5" t="s">
        <v>22</v>
      </c>
      <c r="N13" s="18" t="s">
        <v>24</v>
      </c>
      <c r="O13" s="50">
        <f>-0.00000324005998*(age^6)+0.0002008797159*(age^5)-0.004965445287*(age^4)+0.06306940175*(age^3)-0.4553663858*(age^2)+2.300914708*(age)+19.10100494</f>
        <v>26.835891242482507</v>
      </c>
      <c r="P13" s="50">
        <f>-0.00000305719299*(age^6)+0.0001900370755*(age^5)-0.004726980433*(age^4)+0.06059961269*(age^3)-0.441480596*(age^2)+2.226637687*age+18.11605283</f>
        <v>25.51023230773165</v>
      </c>
      <c r="T13" s="40"/>
    </row>
    <row r="14" spans="5:16" ht="27.75" customHeight="1" thickBot="1">
      <c r="E14" s="22"/>
      <c r="F14" s="37" t="s">
        <v>34</v>
      </c>
      <c r="G14" s="26" t="s">
        <v>24</v>
      </c>
      <c r="H14" s="25">
        <f>IF(age&gt;18,Calculator!O27,Calculator!O14)</f>
        <v>27.425919185638712</v>
      </c>
      <c r="I14" s="20">
        <f>(I6-H14)/(H14-J14)</f>
        <v>0.423533859806082</v>
      </c>
      <c r="J14" s="24">
        <f>IF(age&gt;18,P27,P14)</f>
        <v>26.070464831589817</v>
      </c>
      <c r="K14" s="49"/>
      <c r="M14" s="5" t="s">
        <v>23</v>
      </c>
      <c r="N14" s="21" t="s">
        <v>24</v>
      </c>
      <c r="O14" s="51">
        <f>-0.000003344991404*(age^6)+0.00020884005*(age^5)-0.00520193634*(age^4)+0.06659849179*(age^3)-0.4837463987*(age^2)+2.437263396*age+19.31028848</f>
        <v>27.425919185638712</v>
      </c>
      <c r="P14" s="51">
        <f>-0.000003196317017*(age^6)+0.0002009449097*(age^5)-0.005038558587*(age^4)+0.06482930771*(age^3)-0.470901359*(age^2)+2.347222022*age+18.34696827</f>
        <v>26.070464831589817</v>
      </c>
    </row>
    <row r="15" spans="5:9" ht="51" customHeight="1">
      <c r="E15" s="46"/>
      <c r="F15" s="66" t="s">
        <v>39</v>
      </c>
      <c r="G15" s="67"/>
      <c r="H15" s="67"/>
      <c r="I15" s="67"/>
    </row>
    <row r="16" spans="6:9" ht="15" customHeight="1">
      <c r="F16" s="71" t="s">
        <v>35</v>
      </c>
      <c r="G16" s="72"/>
      <c r="H16" s="72"/>
      <c r="I16" s="72"/>
    </row>
    <row r="17" spans="6:9" ht="27.75" customHeight="1">
      <c r="F17" s="38" t="s">
        <v>27</v>
      </c>
      <c r="G17" s="52"/>
      <c r="H17" s="52"/>
      <c r="I17" s="52"/>
    </row>
    <row r="18" spans="5:9" ht="30.75" customHeight="1">
      <c r="E18" s="53"/>
      <c r="F18" s="70" t="s">
        <v>28</v>
      </c>
      <c r="G18" s="70"/>
      <c r="H18" s="70"/>
      <c r="I18" s="70"/>
    </row>
    <row r="19" spans="5:13" ht="32.25" customHeight="1">
      <c r="E19" s="53"/>
      <c r="F19" s="70" t="s">
        <v>29</v>
      </c>
      <c r="G19" s="70"/>
      <c r="H19" s="70"/>
      <c r="I19" s="70"/>
      <c r="M19" s="46" t="s">
        <v>25</v>
      </c>
    </row>
    <row r="20" spans="5:13" ht="20.25" customHeight="1" thickBot="1">
      <c r="E20" s="53"/>
      <c r="F20" s="68" t="s">
        <v>19</v>
      </c>
      <c r="G20" s="69"/>
      <c r="H20" s="69"/>
      <c r="I20" s="69"/>
      <c r="M20" s="46"/>
    </row>
    <row r="21" spans="5:16" ht="33.75" customHeight="1" thickBot="1">
      <c r="E21" s="53"/>
      <c r="F21" s="70" t="s">
        <v>38</v>
      </c>
      <c r="G21" s="70"/>
      <c r="H21" s="70"/>
      <c r="I21" s="70"/>
      <c r="M21" s="3" t="s">
        <v>14</v>
      </c>
      <c r="N21" s="3" t="s">
        <v>11</v>
      </c>
      <c r="O21" s="6" t="s">
        <v>7</v>
      </c>
      <c r="P21" s="9" t="s">
        <v>2</v>
      </c>
    </row>
    <row r="22" spans="6:16" ht="13.5" thickBot="1">
      <c r="F22" s="73"/>
      <c r="G22" s="73"/>
      <c r="H22" s="73"/>
      <c r="I22" s="73"/>
      <c r="M22" s="47"/>
      <c r="N22" s="3"/>
      <c r="O22" s="7" t="s">
        <v>0</v>
      </c>
      <c r="P22" s="9" t="s">
        <v>0</v>
      </c>
    </row>
    <row r="23" spans="13:16" ht="16.5" thickBot="1">
      <c r="M23" s="4" t="s">
        <v>10</v>
      </c>
      <c r="N23" s="5" t="s">
        <v>12</v>
      </c>
      <c r="O23" s="8">
        <f>19.0894193236+(3.607845346*16)-(0.8612678648*16^2)+(0.1273073211*16^3)-(0.0103881929*16^4)+(0.00043559179719*16^5)-(0.000007330749359*16^6)</f>
        <v>30.74208769449686</v>
      </c>
      <c r="P23" s="10">
        <f>18.1456080914+(3.3565448286*16)-(0.7991831107*16^2)+(0.1191943017*16^3)-(0.0098092554034*16^4)+(0.00041503157589*16^5)-(0.0000070519075517*16^6)</f>
        <v>29.500720169308195</v>
      </c>
    </row>
    <row r="24" spans="6:16" ht="16.5" thickBot="1">
      <c r="F24" s="61"/>
      <c r="H24" s="40"/>
      <c r="M24" s="5" t="s">
        <v>8</v>
      </c>
      <c r="N24" s="5" t="s">
        <v>13</v>
      </c>
      <c r="O24" s="13">
        <f>33.45054072-(9.194417172*16)+(3.051930553*16^2)-(0.473386844*16^3)+(0.03836102159*16^4)-(0.00155974471*16^5)+(0.00002508326333*16^6)</f>
        <v>27.98594327356966</v>
      </c>
      <c r="P24" s="14">
        <f>30.15292931-(7.913394311*16)+(2.746415044*16^2)-(0.4362453792*16^3)+(0.03588388568*16^4)-(0.001473487914*16^5)+(0.00002385602149*16^6)</f>
        <v>26.61969284718765</v>
      </c>
    </row>
    <row r="25" spans="7:20" ht="16.5" thickBot="1">
      <c r="G25" s="60"/>
      <c r="M25" s="5" t="s">
        <v>9</v>
      </c>
      <c r="N25" s="5" t="s">
        <v>13</v>
      </c>
      <c r="O25" s="15">
        <f>35.98918587-(10.47692012*16)+(3.365713432*16^2)-(0.5127828877*16^3)+(0.04105008537*16^4)-(0.001654610607*16^5)+(0.00002643770876*16^6)</f>
        <v>28.446967897100308</v>
      </c>
      <c r="P25" s="16">
        <f>32.00856179-(8.705870837*16)+(2.92342034*16^2)-(0.4578107931*16^3)+(0.03737289365*16^4)-(0.001528193403*16^5)+(0.00002468477487*16^6)</f>
        <v>26.902059308033756</v>
      </c>
      <c r="T25" s="60"/>
    </row>
    <row r="26" spans="6:16" ht="17.25" customHeight="1" thickBot="1">
      <c r="F26" s="54"/>
      <c r="G26" s="55"/>
      <c r="M26" s="5" t="s">
        <v>22</v>
      </c>
      <c r="N26" s="18" t="s">
        <v>24</v>
      </c>
      <c r="O26" s="50">
        <f>-0.00000324005998*(18^6)+0.0002008797159*(18^5)-0.004965445287*(18^4)+0.06306940175*(18^3)-0.4553663858*(18^2)+2.300914708*(18)+19.10100494</f>
        <v>28.921164443223727</v>
      </c>
      <c r="P26" s="50">
        <f>-0.00000305719299*(18^6)+0.0001900370755*(18^5)-0.004726980433*(18^4)+0.06059961269*(18^3)-0.441480596*(18^2)+2.226637687*18+18.11605283</f>
        <v>27.45930525674622</v>
      </c>
    </row>
    <row r="27" spans="13:16" ht="18" customHeight="1" thickBot="1">
      <c r="M27" s="5" t="s">
        <v>23</v>
      </c>
      <c r="N27" s="21" t="s">
        <v>24</v>
      </c>
      <c r="O27" s="51">
        <f>-0.000003344991404*(18^6)+0.00020884005*(18^5)-0.00520193634*(18^4)+0.06659849179*(18^3)-0.4837463987*(18^2)+2.437263396*18+19.31028848</f>
        <v>29.618010008117476</v>
      </c>
      <c r="P27" s="51">
        <f>-0.000003196317017*(18^6)+0.0002009449097*(18^5)-0.005038558587*(18^4)+0.06482930771*(18^3)-0.470901359*(18^2)+2.347222022*18+18.34696827</f>
        <v>28.166941460601844</v>
      </c>
    </row>
    <row r="29" spans="5:9" ht="12.75">
      <c r="E29" s="56"/>
      <c r="F29" s="56"/>
      <c r="G29" s="56"/>
      <c r="H29" s="56"/>
      <c r="I29" s="56"/>
    </row>
    <row r="30" spans="5:9" ht="12.75">
      <c r="E30" s="56"/>
      <c r="F30" s="56"/>
      <c r="G30" s="56"/>
      <c r="H30" s="56"/>
      <c r="I30" s="56"/>
    </row>
    <row r="31" spans="5:9" ht="12.75">
      <c r="E31" s="56"/>
      <c r="F31" s="56"/>
      <c r="G31" s="56"/>
      <c r="H31" s="56"/>
      <c r="I31" s="56"/>
    </row>
    <row r="34" ht="12.75">
      <c r="G34" s="57"/>
    </row>
  </sheetData>
  <sheetProtection password="EF1C" sheet="1" objects="1" scenarios="1"/>
  <mergeCells count="13">
    <mergeCell ref="F21:I21"/>
    <mergeCell ref="F22:I22"/>
    <mergeCell ref="F8:F9"/>
    <mergeCell ref="G8:G9"/>
    <mergeCell ref="I8:I9"/>
    <mergeCell ref="H8:H9"/>
    <mergeCell ref="F1:I1"/>
    <mergeCell ref="F2:I2"/>
    <mergeCell ref="F15:I15"/>
    <mergeCell ref="F20:I20"/>
    <mergeCell ref="F19:I19"/>
    <mergeCell ref="F16:I16"/>
    <mergeCell ref="F18:I18"/>
  </mergeCells>
  <hyperlinks>
    <hyperlink ref="F16:I16" r:id="rId1" display="* * * The University of Washington uses the Stromland PFL charts for Caucasians (click here to learn why) * * *"/>
    <hyperlink ref="F21:I21" r:id="rId2" display="Stromland K, Chen Y, Norberg T, Wennerstrom K, Michael G. Reference values of facial features in scandinavian chilren measured with a range-camera technique. Scand J Plast Reconstr Hand Surg 1999;33:59-65."/>
    <hyperlink ref="F19:I19" r:id="rId3" display="Clarren SK, Chudley AE, Wong L, Friesen J, Brant R. Normal distribution of palpebral fissure lengths in Canadian school age children. Can J Clin Pharmacoogy 2010;17(1):e67-e78."/>
    <hyperlink ref="F18:I18" r:id="rId4" display="Astley SJ. Canadian palpebral fissure length growth charts reflect a good fit for two school and FASD clinic-based U.S. populations. J Popul Ther Clinc Pharmacol 2011:18(2 );e231 -e241;April 8, 2011"/>
  </hyperlinks>
  <printOptions/>
  <pageMargins left="0.7" right="0.7" top="0.75" bottom="0.75" header="0.3" footer="0.3"/>
  <pageSetup horizontalDpi="600" verticalDpi="60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User</dc:creator>
  <cp:keywords/>
  <dc:description/>
  <cp:lastModifiedBy>susan</cp:lastModifiedBy>
  <cp:lastPrinted>2002-10-01T16:56:55Z</cp:lastPrinted>
  <dcterms:created xsi:type="dcterms:W3CDTF">1998-04-25T16:27:54Z</dcterms:created>
  <dcterms:modified xsi:type="dcterms:W3CDTF">2013-05-29T18:07:36Z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